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700" activeTab="0"/>
  </bookViews>
  <sheets>
    <sheet name="Column Strength" sheetId="1" r:id="rId1"/>
  </sheets>
  <definedNames/>
  <calcPr fullCalcOnLoad="1"/>
</workbook>
</file>

<file path=xl/sharedStrings.xml><?xml version="1.0" encoding="utf-8"?>
<sst xmlns="http://schemas.openxmlformats.org/spreadsheetml/2006/main" count="163" uniqueCount="60">
  <si>
    <t>Written by Neal Willford 11/6/2004 for Sport Aviation</t>
  </si>
  <si>
    <t>Tubing Diameter:</t>
  </si>
  <si>
    <t>inches</t>
  </si>
  <si>
    <t>Tubing Thickness:</t>
  </si>
  <si>
    <t>Ftu =</t>
  </si>
  <si>
    <t>Tubing Length:</t>
  </si>
  <si>
    <t>Area =</t>
  </si>
  <si>
    <t>sq. inches</t>
  </si>
  <si>
    <t>Moment of Inertia =</t>
  </si>
  <si>
    <t>inches^4</t>
  </si>
  <si>
    <t>Estimates assume pinned connection at end points</t>
  </si>
  <si>
    <t xml:space="preserve">inches  </t>
  </si>
  <si>
    <t>radius of gyration (rho) =</t>
  </si>
  <si>
    <t>Length/rho =</t>
  </si>
  <si>
    <t>lbs</t>
  </si>
  <si>
    <t>Fco =</t>
  </si>
  <si>
    <t>psi (ultimate tensile stress)</t>
  </si>
  <si>
    <t>psi (yield compressive stress)</t>
  </si>
  <si>
    <t>Column buckling stress =</t>
  </si>
  <si>
    <t>Margin of Safety =</t>
  </si>
  <si>
    <t>psi (for the given column dimensions)</t>
  </si>
  <si>
    <t>inches (distance between end points)</t>
  </si>
  <si>
    <t>For tubes in compression</t>
  </si>
  <si>
    <t>For tubes in tension</t>
  </si>
  <si>
    <t>Transition Length/rho =</t>
  </si>
  <si>
    <t>Tube weight =</t>
  </si>
  <si>
    <t>Input required in the yellow cells</t>
  </si>
  <si>
    <t>D/t =</t>
  </si>
  <si>
    <t>Fcc =</t>
  </si>
  <si>
    <t>psi</t>
  </si>
  <si>
    <t>Maximum tensile strength =</t>
  </si>
  <si>
    <t>Maximum compressive strength =</t>
  </si>
  <si>
    <t>Ultimate design compressive load:</t>
  </si>
  <si>
    <t>Ultimate design tension load:</t>
  </si>
  <si>
    <t>4130 ROUND Steel Tubing</t>
  </si>
  <si>
    <t>2024-T3 ROUND Aluminum Tubing</t>
  </si>
  <si>
    <t>6061-T6 ROUND Aluminum Tubing</t>
  </si>
  <si>
    <t>Wood Columns</t>
  </si>
  <si>
    <t>Width:</t>
  </si>
  <si>
    <t>Height:</t>
  </si>
  <si>
    <t>Based on methods in "Analysis &amp; Design of Flight Vehicle Structures" by Bruhn and ANC-18 "Design of Wood Aircraft Structures"</t>
  </si>
  <si>
    <t>Spreadsheet for estimating the strength of steel, aluminum and wood columns</t>
  </si>
  <si>
    <t>For streamlined tubes, use the equivalent diameter for compression shown in supply catalogs for the given streamline tube</t>
  </si>
  <si>
    <t>Modulus of Elasticity:</t>
  </si>
  <si>
    <t>Density:</t>
  </si>
  <si>
    <t>lbs/cu. In.</t>
  </si>
  <si>
    <t>Critical Length/rho =</t>
  </si>
  <si>
    <t>Ult Tensile Stress:</t>
  </si>
  <si>
    <t>Ult Comp.Stress:</t>
  </si>
  <si>
    <t>For member in tension</t>
  </si>
  <si>
    <t>For member in compression</t>
  </si>
  <si>
    <t>Column weight =</t>
  </si>
  <si>
    <t>Modulus of Elasticity (psi)</t>
  </si>
  <si>
    <t>Density (lbs/cu. In.)</t>
  </si>
  <si>
    <t>Ultimate Tensile Stress (psi)</t>
  </si>
  <si>
    <t>Ultimate Compressive Stress (psi)</t>
  </si>
  <si>
    <t>Spruce</t>
  </si>
  <si>
    <t>Douglas Fir</t>
  </si>
  <si>
    <t>***This spreadsheet is for educational purposes only and may contain errors.  Any attempt to use the results for actual design purposes are done at the user's own risk ***</t>
  </si>
  <si>
    <t>Enter material properties for the wood being considered: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</si>
</sst>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2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" fontId="1" fillId="2" borderId="0" xfId="0" applyNumberFormat="1" applyFont="1" applyFill="1" applyAlignment="1">
      <alignment/>
    </xf>
    <xf numFmtId="166" fontId="1" fillId="2" borderId="0" xfId="0" applyNumberFormat="1" applyFont="1" applyFill="1" applyAlignment="1">
      <alignment/>
    </xf>
    <xf numFmtId="165" fontId="0" fillId="0" borderId="0" xfId="0" applyNumberFormat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1" fontId="1" fillId="3" borderId="2" xfId="0" applyNumberFormat="1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9" fontId="1" fillId="3" borderId="7" xfId="0" applyNumberFormat="1" applyFont="1" applyFill="1" applyBorder="1" applyAlignment="1">
      <alignment/>
    </xf>
    <xf numFmtId="0" fontId="0" fillId="3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1" fontId="1" fillId="4" borderId="2" xfId="0" applyNumberFormat="1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9" fontId="1" fillId="4" borderId="7" xfId="0" applyNumberFormat="1" applyFont="1" applyFill="1" applyBorder="1" applyAlignment="1">
      <alignment/>
    </xf>
    <xf numFmtId="0" fontId="0" fillId="4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="75" zoomScaleNormal="75" workbookViewId="0" topLeftCell="A10">
      <selection activeCell="F47" sqref="F47"/>
    </sheetView>
  </sheetViews>
  <sheetFormatPr defaultColWidth="9.140625" defaultRowHeight="12.75"/>
  <cols>
    <col min="4" max="4" width="10.421875" style="0" customWidth="1"/>
  </cols>
  <sheetData>
    <row r="1" ht="12.75">
      <c r="A1" s="1" t="s">
        <v>41</v>
      </c>
    </row>
    <row r="2" ht="12.75">
      <c r="A2" s="2" t="s">
        <v>0</v>
      </c>
    </row>
    <row r="3" ht="12.75">
      <c r="A3" s="1" t="s">
        <v>40</v>
      </c>
    </row>
    <row r="4" ht="12.75">
      <c r="A4" s="1" t="s">
        <v>10</v>
      </c>
    </row>
    <row r="5" ht="12.75">
      <c r="A5" s="2" t="s">
        <v>58</v>
      </c>
    </row>
    <row r="6" ht="12.75">
      <c r="A6" s="2" t="s">
        <v>42</v>
      </c>
    </row>
    <row r="7" ht="12.75">
      <c r="A7" s="1" t="s">
        <v>26</v>
      </c>
    </row>
    <row r="9" ht="12.75">
      <c r="A9" s="1" t="s">
        <v>34</v>
      </c>
    </row>
    <row r="11" spans="2:13" ht="12.75">
      <c r="B11" t="s">
        <v>1</v>
      </c>
      <c r="D11" s="3">
        <v>0.5</v>
      </c>
      <c r="E11" t="s">
        <v>2</v>
      </c>
      <c r="I11" t="s">
        <v>6</v>
      </c>
      <c r="L11" s="5">
        <f>PI()*(D11^2-(D11-2*D12)^2)/4</f>
        <v>0.051129420437173896</v>
      </c>
      <c r="M11" t="s">
        <v>7</v>
      </c>
    </row>
    <row r="12" spans="2:13" ht="12.75">
      <c r="B12" t="s">
        <v>3</v>
      </c>
      <c r="D12" s="4">
        <v>0.035</v>
      </c>
      <c r="E12" t="s">
        <v>2</v>
      </c>
      <c r="I12" t="s">
        <v>8</v>
      </c>
      <c r="L12" s="5">
        <f>PI()*(D11^4-(D11-2*D12)^4)/64</f>
        <v>0.0013897615592579331</v>
      </c>
      <c r="M12" t="s">
        <v>9</v>
      </c>
    </row>
    <row r="13" spans="2:13" ht="12.75">
      <c r="B13" t="s">
        <v>5</v>
      </c>
      <c r="D13" s="3">
        <v>27</v>
      </c>
      <c r="E13" t="s">
        <v>21</v>
      </c>
      <c r="I13" t="s">
        <v>12</v>
      </c>
      <c r="L13" s="6">
        <f>(L12/L11)^0.5</f>
        <v>0.1648673709379755</v>
      </c>
      <c r="M13" t="s">
        <v>11</v>
      </c>
    </row>
    <row r="14" spans="2:12" ht="12.75">
      <c r="B14" t="s">
        <v>25</v>
      </c>
      <c r="D14" s="6">
        <f>D13*L11*0.283</f>
        <v>0.3906799015604457</v>
      </c>
      <c r="E14" t="s">
        <v>14</v>
      </c>
      <c r="I14" t="s">
        <v>13</v>
      </c>
      <c r="L14" s="7">
        <f>D13/L13</f>
        <v>163.76800240332352</v>
      </c>
    </row>
    <row r="15" spans="2:4" ht="12.75">
      <c r="B15" t="s">
        <v>4</v>
      </c>
      <c r="C15">
        <v>95000</v>
      </c>
      <c r="D15" t="s">
        <v>16</v>
      </c>
    </row>
    <row r="16" spans="2:11" ht="12.75">
      <c r="B16" t="s">
        <v>15</v>
      </c>
      <c r="C16">
        <v>79500</v>
      </c>
      <c r="D16" t="s">
        <v>17</v>
      </c>
      <c r="G16" t="s">
        <v>18</v>
      </c>
      <c r="J16" s="7">
        <f>IF(L14&lt;91,79500-51.9*L14^1.5,286000000/L14^2)</f>
        <v>10663.700274348425</v>
      </c>
      <c r="K16" t="s">
        <v>20</v>
      </c>
    </row>
    <row r="18" spans="2:9" ht="13.5" thickBot="1">
      <c r="B18" s="9" t="s">
        <v>22</v>
      </c>
      <c r="I18" s="9" t="s">
        <v>23</v>
      </c>
    </row>
    <row r="19" spans="2:14" ht="12.75">
      <c r="B19" s="14" t="s">
        <v>31</v>
      </c>
      <c r="C19" s="15"/>
      <c r="D19" s="15"/>
      <c r="E19" s="15"/>
      <c r="F19" s="16">
        <f>IF(J16&lt;67500,J16*L11,67500*L11)</f>
        <v>545.2288147431672</v>
      </c>
      <c r="G19" s="17" t="s">
        <v>14</v>
      </c>
      <c r="I19" s="14" t="s">
        <v>30</v>
      </c>
      <c r="J19" s="15"/>
      <c r="K19" s="15"/>
      <c r="L19" s="15"/>
      <c r="M19" s="16">
        <f>L11*C15</f>
        <v>4857.29494153152</v>
      </c>
      <c r="N19" s="17" t="s">
        <v>14</v>
      </c>
    </row>
    <row r="20" spans="2:14" ht="12.75">
      <c r="B20" s="18" t="s">
        <v>32</v>
      </c>
      <c r="C20" s="19"/>
      <c r="D20" s="19"/>
      <c r="E20" s="19"/>
      <c r="F20" s="8">
        <v>525</v>
      </c>
      <c r="G20" s="20" t="s">
        <v>14</v>
      </c>
      <c r="I20" s="18" t="s">
        <v>33</v>
      </c>
      <c r="J20" s="19"/>
      <c r="K20" s="19"/>
      <c r="L20" s="19"/>
      <c r="M20" s="8">
        <v>525</v>
      </c>
      <c r="N20" s="20" t="s">
        <v>14</v>
      </c>
    </row>
    <row r="21" spans="2:14" ht="13.5" thickBot="1">
      <c r="B21" s="21" t="s">
        <v>19</v>
      </c>
      <c r="C21" s="22"/>
      <c r="D21" s="22"/>
      <c r="E21" s="22"/>
      <c r="F21" s="23">
        <f>F19/F20-1</f>
        <v>0.03853107570127068</v>
      </c>
      <c r="G21" s="24" t="str">
        <f>IF(F21&lt;0,"Tube is too small for the design load!!"," ")</f>
        <v> </v>
      </c>
      <c r="I21" s="21" t="s">
        <v>19</v>
      </c>
      <c r="J21" s="22"/>
      <c r="K21" s="22"/>
      <c r="L21" s="22"/>
      <c r="M21" s="23">
        <f>M19/M20-1</f>
        <v>8.251990364821943</v>
      </c>
      <c r="N21" s="24" t="str">
        <f>IF(M21&lt;0,"Tube I14:M14s too small for the design load!!"," ")</f>
        <v> </v>
      </c>
    </row>
    <row r="23" ht="12.75">
      <c r="A23" s="1" t="s">
        <v>35</v>
      </c>
    </row>
    <row r="24" spans="9:13" ht="12.75">
      <c r="I24" t="s">
        <v>27</v>
      </c>
      <c r="J24" s="10">
        <f>D25/D26</f>
        <v>10.775862068965516</v>
      </c>
      <c r="K24" t="s">
        <v>28</v>
      </c>
      <c r="L24" s="7">
        <f>-140.79*J24+50842</f>
        <v>49324.86637931035</v>
      </c>
      <c r="M24" t="s">
        <v>29</v>
      </c>
    </row>
    <row r="25" spans="2:13" ht="12.75">
      <c r="B25" t="s">
        <v>1</v>
      </c>
      <c r="D25" s="3">
        <v>0.625</v>
      </c>
      <c r="E25" t="s">
        <v>2</v>
      </c>
      <c r="I25" t="s">
        <v>6</v>
      </c>
      <c r="L25" s="5">
        <f>PI()*(D25^2-(D25-2*D26)^2)/4</f>
        <v>0.10331441600595394</v>
      </c>
      <c r="M25" t="s">
        <v>7</v>
      </c>
    </row>
    <row r="26" spans="2:13" ht="12.75">
      <c r="B26" t="s">
        <v>3</v>
      </c>
      <c r="D26" s="4">
        <v>0.058</v>
      </c>
      <c r="E26" t="s">
        <v>2</v>
      </c>
      <c r="I26" t="s">
        <v>8</v>
      </c>
      <c r="L26" s="5">
        <f>PI()*(D25^4-(D25-2*D26)^4)/64</f>
        <v>0.004195249747847769</v>
      </c>
      <c r="M26" t="s">
        <v>9</v>
      </c>
    </row>
    <row r="27" spans="2:13" ht="12.75">
      <c r="B27" t="s">
        <v>5</v>
      </c>
      <c r="D27" s="3">
        <v>27</v>
      </c>
      <c r="E27" t="s">
        <v>21</v>
      </c>
      <c r="I27" t="s">
        <v>12</v>
      </c>
      <c r="L27" s="6">
        <f>(L26/L25)^0.5</f>
        <v>0.2015108557869774</v>
      </c>
      <c r="M27" t="s">
        <v>11</v>
      </c>
    </row>
    <row r="28" spans="2:12" ht="12.75">
      <c r="B28" t="s">
        <v>25</v>
      </c>
      <c r="D28" s="6">
        <f>D27*L25*0.1</f>
        <v>0.2789489232160757</v>
      </c>
      <c r="E28" t="s">
        <v>14</v>
      </c>
      <c r="I28" t="s">
        <v>13</v>
      </c>
      <c r="L28" s="7">
        <f>D27/L27</f>
        <v>133.98781864408554</v>
      </c>
    </row>
    <row r="29" spans="2:12" ht="12.75">
      <c r="B29" t="s">
        <v>4</v>
      </c>
      <c r="C29">
        <v>62000</v>
      </c>
      <c r="D29" t="s">
        <v>16</v>
      </c>
      <c r="I29" t="s">
        <v>24</v>
      </c>
      <c r="L29" s="7">
        <f>1.732*PI()*(10500000/C30)^0.5</f>
        <v>78.3763855242064</v>
      </c>
    </row>
    <row r="30" spans="2:11" ht="12.75">
      <c r="B30" t="s">
        <v>15</v>
      </c>
      <c r="C30" s="7">
        <f>42000*(1+(42/1000)^0.5)</f>
        <v>50607.43864340606</v>
      </c>
      <c r="D30" t="s">
        <v>17</v>
      </c>
      <c r="G30" t="s">
        <v>18</v>
      </c>
      <c r="J30" s="7">
        <f>IF(L28&lt;L29,C30*(1-0.385*L28/(PI()*(10500000/C30)^0.5)),(PI())^2*10500000/L28^2)</f>
        <v>5772.4264890816785</v>
      </c>
      <c r="K30" t="s">
        <v>20</v>
      </c>
    </row>
    <row r="32" spans="2:9" ht="13.5" thickBot="1">
      <c r="B32" s="9" t="s">
        <v>22</v>
      </c>
      <c r="I32" s="9" t="s">
        <v>23</v>
      </c>
    </row>
    <row r="33" spans="2:14" ht="12.75">
      <c r="B33" s="25" t="s">
        <v>31</v>
      </c>
      <c r="C33" s="26"/>
      <c r="D33" s="26"/>
      <c r="E33" s="26"/>
      <c r="F33" s="27">
        <f>IF(J30&lt;L24,J30*L25,L24*L25)</f>
        <v>596.3748716567727</v>
      </c>
      <c r="G33" s="28" t="s">
        <v>14</v>
      </c>
      <c r="I33" s="14" t="s">
        <v>30</v>
      </c>
      <c r="J33" s="15"/>
      <c r="K33" s="15"/>
      <c r="L33" s="15"/>
      <c r="M33" s="16">
        <f>L25*C29</f>
        <v>6405.493792369144</v>
      </c>
      <c r="N33" s="17" t="s">
        <v>14</v>
      </c>
    </row>
    <row r="34" spans="2:14" ht="12.75">
      <c r="B34" s="29" t="s">
        <v>32</v>
      </c>
      <c r="C34" s="30"/>
      <c r="D34" s="30"/>
      <c r="E34" s="30"/>
      <c r="F34" s="8">
        <v>525</v>
      </c>
      <c r="G34" s="31" t="s">
        <v>14</v>
      </c>
      <c r="I34" s="18" t="s">
        <v>33</v>
      </c>
      <c r="J34" s="19"/>
      <c r="K34" s="19"/>
      <c r="L34" s="19"/>
      <c r="M34" s="8">
        <v>525</v>
      </c>
      <c r="N34" s="20" t="s">
        <v>14</v>
      </c>
    </row>
    <row r="35" spans="2:14" ht="13.5" thickBot="1">
      <c r="B35" s="32" t="s">
        <v>19</v>
      </c>
      <c r="C35" s="33"/>
      <c r="D35" s="33"/>
      <c r="E35" s="33"/>
      <c r="F35" s="34">
        <f>F33/F34-1</f>
        <v>0.13595213648909077</v>
      </c>
      <c r="G35" s="35" t="str">
        <f>IF(F35&lt;0,"Tube is too small for the design load!!"," ")</f>
        <v> </v>
      </c>
      <c r="I35" s="21" t="s">
        <v>19</v>
      </c>
      <c r="J35" s="22"/>
      <c r="K35" s="22"/>
      <c r="L35" s="22"/>
      <c r="M35" s="23">
        <f>M33/M34-1</f>
        <v>11.200940556893608</v>
      </c>
      <c r="N35" s="24" t="str">
        <f>IF(M35&lt;0,"Tube I14:M14s too small for the design load!!"," ")</f>
        <v> </v>
      </c>
    </row>
    <row r="37" ht="12.75">
      <c r="A37" s="1" t="s">
        <v>36</v>
      </c>
    </row>
    <row r="38" spans="9:13" ht="12.75">
      <c r="I38" t="s">
        <v>27</v>
      </c>
      <c r="J38" s="10">
        <f>D39/D40</f>
        <v>42.857142857142854</v>
      </c>
      <c r="K38" t="s">
        <v>28</v>
      </c>
      <c r="L38" s="7">
        <f>-101.32*J38+40737</f>
        <v>36394.71428571429</v>
      </c>
      <c r="M38" t="s">
        <v>29</v>
      </c>
    </row>
    <row r="39" spans="2:13" ht="12.75">
      <c r="B39" t="s">
        <v>1</v>
      </c>
      <c r="D39" s="3">
        <v>1.5</v>
      </c>
      <c r="E39" t="s">
        <v>2</v>
      </c>
      <c r="I39" t="s">
        <v>6</v>
      </c>
      <c r="L39" s="5">
        <f>PI()*(D39^2-(D39-2*D40)^2)/4</f>
        <v>0.16108516331281686</v>
      </c>
      <c r="M39" t="s">
        <v>7</v>
      </c>
    </row>
    <row r="40" spans="2:13" ht="12.75">
      <c r="B40" t="s">
        <v>3</v>
      </c>
      <c r="D40" s="4">
        <v>0.035</v>
      </c>
      <c r="E40" t="s">
        <v>2</v>
      </c>
      <c r="I40" t="s">
        <v>8</v>
      </c>
      <c r="L40" s="5">
        <f>PI()*(D39^4-(D39-2*D40)^4)/64</f>
        <v>0.04324029174451356</v>
      </c>
      <c r="M40" t="s">
        <v>9</v>
      </c>
    </row>
    <row r="41" spans="2:13" ht="12.75">
      <c r="B41" t="s">
        <v>5</v>
      </c>
      <c r="D41" s="3">
        <v>72</v>
      </c>
      <c r="E41" t="s">
        <v>21</v>
      </c>
      <c r="I41" t="s">
        <v>12</v>
      </c>
      <c r="L41" s="6">
        <f>(L40/L39)^0.5</f>
        <v>0.5181035128234511</v>
      </c>
      <c r="M41" t="s">
        <v>11</v>
      </c>
    </row>
    <row r="42" spans="2:12" ht="12.75">
      <c r="B42" t="s">
        <v>25</v>
      </c>
      <c r="D42" s="6">
        <f>D41*L39*0.098</f>
        <v>1.1366169123352359</v>
      </c>
      <c r="E42" t="s">
        <v>14</v>
      </c>
      <c r="I42" t="s">
        <v>13</v>
      </c>
      <c r="L42" s="7">
        <f>D41/L41</f>
        <v>138.96836871000855</v>
      </c>
    </row>
    <row r="43" spans="2:12" ht="12.75">
      <c r="B43" t="s">
        <v>4</v>
      </c>
      <c r="C43">
        <v>42000</v>
      </c>
      <c r="D43" t="s">
        <v>16</v>
      </c>
      <c r="I43" t="s">
        <v>24</v>
      </c>
      <c r="L43" s="7">
        <f>1.346*PI()*(10100000/C44)^0.5</f>
        <v>67.60920843743243</v>
      </c>
    </row>
    <row r="44" spans="2:11" ht="12.75">
      <c r="B44" t="s">
        <v>15</v>
      </c>
      <c r="C44" s="7">
        <f>34000*(1+(35/1333)^0.5)</f>
        <v>39509.3183014813</v>
      </c>
      <c r="D44" t="s">
        <v>17</v>
      </c>
      <c r="G44" t="s">
        <v>18</v>
      </c>
      <c r="J44" s="7">
        <f>IF(L42&lt;L43,C44*(1-0.333*L42/(PI()*(10100000/C44)^0.5)),(PI())^2*10100000/L42^2)</f>
        <v>5161.6576945482575</v>
      </c>
      <c r="K44" t="s">
        <v>20</v>
      </c>
    </row>
    <row r="46" spans="2:9" ht="13.5" thickBot="1">
      <c r="B46" s="9" t="s">
        <v>22</v>
      </c>
      <c r="I46" s="9" t="s">
        <v>23</v>
      </c>
    </row>
    <row r="47" spans="2:14" ht="12.75">
      <c r="B47" s="25" t="s">
        <v>31</v>
      </c>
      <c r="C47" s="26"/>
      <c r="D47" s="26"/>
      <c r="E47" s="26"/>
      <c r="F47" s="27">
        <f>IF(J44&lt;L38,J44*L39,L38*L39)</f>
        <v>831.4664726911639</v>
      </c>
      <c r="G47" s="28" t="s">
        <v>14</v>
      </c>
      <c r="I47" s="25" t="s">
        <v>30</v>
      </c>
      <c r="J47" s="26"/>
      <c r="K47" s="26"/>
      <c r="L47" s="26"/>
      <c r="M47" s="27">
        <f>L39*C43</f>
        <v>6765.5768591383085</v>
      </c>
      <c r="N47" s="28" t="s">
        <v>14</v>
      </c>
    </row>
    <row r="48" spans="2:14" ht="12.75">
      <c r="B48" s="29" t="s">
        <v>32</v>
      </c>
      <c r="C48" s="30"/>
      <c r="D48" s="30"/>
      <c r="E48" s="30"/>
      <c r="F48" s="8">
        <v>525</v>
      </c>
      <c r="G48" s="31" t="s">
        <v>14</v>
      </c>
      <c r="I48" s="29" t="s">
        <v>33</v>
      </c>
      <c r="J48" s="30"/>
      <c r="K48" s="30"/>
      <c r="L48" s="30"/>
      <c r="M48" s="8">
        <v>525</v>
      </c>
      <c r="N48" s="31" t="s">
        <v>14</v>
      </c>
    </row>
    <row r="49" spans="2:14" ht="13.5" thickBot="1">
      <c r="B49" s="32" t="s">
        <v>19</v>
      </c>
      <c r="C49" s="33"/>
      <c r="D49" s="33"/>
      <c r="E49" s="33"/>
      <c r="F49" s="34">
        <f>F47/F48-1</f>
        <v>0.5837456622688835</v>
      </c>
      <c r="G49" s="35" t="str">
        <f>IF(F49&lt;0,"Tube is too small for the design load!!"," ")</f>
        <v> </v>
      </c>
      <c r="I49" s="32" t="s">
        <v>19</v>
      </c>
      <c r="J49" s="33"/>
      <c r="K49" s="33"/>
      <c r="L49" s="33"/>
      <c r="M49" s="34">
        <f>M47/M48-1</f>
        <v>11.886813065025349</v>
      </c>
      <c r="N49" s="35" t="str">
        <f>IF(M49&lt;0,"Tube I14:M14s too small for the design load!!"," ")</f>
        <v> </v>
      </c>
    </row>
    <row r="51" ht="12.75">
      <c r="A51" s="9" t="s">
        <v>37</v>
      </c>
    </row>
    <row r="52" spans="5:6" ht="12.75">
      <c r="E52" t="s">
        <v>56</v>
      </c>
      <c r="F52" t="s">
        <v>57</v>
      </c>
    </row>
    <row r="53" spans="2:6" ht="12.75">
      <c r="B53" t="s">
        <v>52</v>
      </c>
      <c r="E53">
        <v>1300000</v>
      </c>
      <c r="F53">
        <v>1700000</v>
      </c>
    </row>
    <row r="54" spans="2:6" ht="12.75">
      <c r="B54" t="s">
        <v>53</v>
      </c>
      <c r="E54" s="13">
        <f>27/1728</f>
        <v>0.015625</v>
      </c>
      <c r="F54" s="13">
        <f>34/1728</f>
        <v>0.019675925925925927</v>
      </c>
    </row>
    <row r="55" spans="2:6" ht="12.75">
      <c r="B55" t="s">
        <v>55</v>
      </c>
      <c r="E55">
        <v>5000</v>
      </c>
      <c r="F55">
        <v>7000</v>
      </c>
    </row>
    <row r="56" spans="2:6" ht="12.75">
      <c r="B56" t="s">
        <v>54</v>
      </c>
      <c r="E56">
        <v>9400</v>
      </c>
      <c r="F56">
        <v>11500</v>
      </c>
    </row>
    <row r="58" spans="2:13" ht="12.75">
      <c r="B58" t="s">
        <v>38</v>
      </c>
      <c r="D58" s="3">
        <v>0.875</v>
      </c>
      <c r="E58" t="s">
        <v>2</v>
      </c>
      <c r="I58" t="s">
        <v>6</v>
      </c>
      <c r="L58" s="5">
        <f>D58*D59</f>
        <v>0.65625</v>
      </c>
      <c r="M58" t="s">
        <v>7</v>
      </c>
    </row>
    <row r="59" spans="2:13" ht="12.75">
      <c r="B59" t="s">
        <v>39</v>
      </c>
      <c r="D59" s="3">
        <v>0.75</v>
      </c>
      <c r="E59" t="s">
        <v>2</v>
      </c>
      <c r="I59" t="s">
        <v>8</v>
      </c>
      <c r="L59" s="5">
        <f>IF(D58&lt;D59,D59*D58^3/12,D58*D59^3/12)</f>
        <v>0.03076171875</v>
      </c>
      <c r="M59" t="s">
        <v>9</v>
      </c>
    </row>
    <row r="60" spans="2:13" ht="12.75">
      <c r="B60" t="s">
        <v>5</v>
      </c>
      <c r="D60" s="3">
        <v>27</v>
      </c>
      <c r="E60" t="s">
        <v>21</v>
      </c>
      <c r="I60" t="s">
        <v>12</v>
      </c>
      <c r="L60" s="6">
        <f>(L59/L58)^0.5</f>
        <v>0.21650635094610965</v>
      </c>
      <c r="M60" t="s">
        <v>11</v>
      </c>
    </row>
    <row r="61" spans="2:12" ht="12.75">
      <c r="B61" t="s">
        <v>59</v>
      </c>
      <c r="I61" t="s">
        <v>13</v>
      </c>
      <c r="L61" s="7">
        <f>D60/L60</f>
        <v>124.70765814495917</v>
      </c>
    </row>
    <row r="62" spans="2:12" ht="12.75">
      <c r="B62" t="s">
        <v>43</v>
      </c>
      <c r="D62" s="11">
        <v>1300000</v>
      </c>
      <c r="E62" t="s">
        <v>29</v>
      </c>
      <c r="I62" t="s">
        <v>46</v>
      </c>
      <c r="L62" s="7">
        <f>(15*D62/D64)^0.5</f>
        <v>62.44997998398398</v>
      </c>
    </row>
    <row r="63" spans="2:5" ht="12.75">
      <c r="B63" t="s">
        <v>44</v>
      </c>
      <c r="D63" s="12">
        <v>0.0156</v>
      </c>
      <c r="E63" t="s">
        <v>45</v>
      </c>
    </row>
    <row r="64" spans="2:5" ht="12.75">
      <c r="B64" t="s">
        <v>48</v>
      </c>
      <c r="D64" s="11">
        <v>5000</v>
      </c>
      <c r="E64" t="s">
        <v>29</v>
      </c>
    </row>
    <row r="65" spans="2:11" ht="12.75">
      <c r="B65" t="s">
        <v>47</v>
      </c>
      <c r="D65" s="11">
        <v>9400</v>
      </c>
      <c r="E65" t="s">
        <v>29</v>
      </c>
      <c r="G65" t="s">
        <v>18</v>
      </c>
      <c r="J65" s="7">
        <f>IF(L61&lt;L62,D64*(1-0.3333*(L61/L62)^4),(10*D62/L61^2))</f>
        <v>835.9053497942386</v>
      </c>
      <c r="K65" t="s">
        <v>20</v>
      </c>
    </row>
    <row r="66" spans="2:5" ht="12.75">
      <c r="B66" t="s">
        <v>51</v>
      </c>
      <c r="D66" s="6">
        <f>D60*L58*D63</f>
        <v>0.2764125</v>
      </c>
      <c r="E66" t="s">
        <v>14</v>
      </c>
    </row>
    <row r="68" spans="2:9" ht="13.5" thickBot="1">
      <c r="B68" s="9" t="s">
        <v>50</v>
      </c>
      <c r="I68" s="9" t="s">
        <v>49</v>
      </c>
    </row>
    <row r="69" spans="2:14" ht="12.75">
      <c r="B69" s="25" t="s">
        <v>31</v>
      </c>
      <c r="C69" s="26"/>
      <c r="D69" s="26"/>
      <c r="E69" s="26"/>
      <c r="F69" s="27">
        <f>J65*L58</f>
        <v>548.562885802469</v>
      </c>
      <c r="G69" s="28" t="s">
        <v>14</v>
      </c>
      <c r="I69" s="25" t="s">
        <v>30</v>
      </c>
      <c r="J69" s="26"/>
      <c r="K69" s="26"/>
      <c r="L69" s="26"/>
      <c r="M69" s="27">
        <f>L58*D65</f>
        <v>6168.75</v>
      </c>
      <c r="N69" s="28" t="s">
        <v>14</v>
      </c>
    </row>
    <row r="70" spans="2:14" ht="12.75">
      <c r="B70" s="29" t="s">
        <v>32</v>
      </c>
      <c r="C70" s="30"/>
      <c r="D70" s="30"/>
      <c r="E70" s="30"/>
      <c r="F70" s="8">
        <v>525</v>
      </c>
      <c r="G70" s="31" t="s">
        <v>14</v>
      </c>
      <c r="I70" s="29" t="s">
        <v>33</v>
      </c>
      <c r="J70" s="30"/>
      <c r="K70" s="30"/>
      <c r="L70" s="30"/>
      <c r="M70" s="8">
        <v>525</v>
      </c>
      <c r="N70" s="31" t="s">
        <v>14</v>
      </c>
    </row>
    <row r="71" spans="2:14" ht="13.5" thickBot="1">
      <c r="B71" s="32" t="s">
        <v>19</v>
      </c>
      <c r="C71" s="33"/>
      <c r="D71" s="33"/>
      <c r="E71" s="33"/>
      <c r="F71" s="34">
        <f>F69/F70-1</f>
        <v>0.044881687242798174</v>
      </c>
      <c r="G71" s="35" t="str">
        <f>IF(F71&lt;0,"dimensions too small for the design load!!"," ")</f>
        <v> </v>
      </c>
      <c r="I71" s="32" t="s">
        <v>19</v>
      </c>
      <c r="J71" s="33"/>
      <c r="K71" s="33"/>
      <c r="L71" s="33"/>
      <c r="M71" s="34">
        <f>M69/M70-1</f>
        <v>10.75</v>
      </c>
      <c r="N71" s="35" t="str">
        <f>IF(M71&lt;0,"Tube I14:M14s too small for the design load!!"," ")</f>
        <v> 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 Willford</dc:creator>
  <cp:keywords/>
  <dc:description/>
  <cp:lastModifiedBy>Dan Horton</cp:lastModifiedBy>
  <dcterms:created xsi:type="dcterms:W3CDTF">2004-11-06T17:06:06Z</dcterms:created>
  <dcterms:modified xsi:type="dcterms:W3CDTF">2013-10-14T14:36:02Z</dcterms:modified>
  <cp:category/>
  <cp:version/>
  <cp:contentType/>
  <cp:contentStatus/>
</cp:coreProperties>
</file>